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towskiconsulting-my.sharepoint.com/personal/paulinacichon_smart-you_pl/Documents/KADRY/KALKULATORY/"/>
    </mc:Choice>
  </mc:AlternateContent>
  <xr:revisionPtr revIDLastSave="57" documentId="8_{75B2DFA9-161A-45DF-B023-A12FB44721A7}" xr6:coauthVersionLast="47" xr6:coauthVersionMax="47" xr10:uidLastSave="{369E7A6F-5DD0-40B4-A93D-666F6093775F}"/>
  <bookViews>
    <workbookView xWindow="20370" yWindow="-120" windowWidth="29040" windowHeight="15720" xr2:uid="{3987C351-7CF6-435A-A87C-3B871B5F4832}"/>
  </bookViews>
  <sheets>
    <sheet name="KALKULATOR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33" i="1"/>
  <c r="D33" i="1" s="1"/>
  <c r="C30" i="1" s="1"/>
  <c r="C31" i="1" s="1"/>
  <c r="C32" i="1"/>
  <c r="D32" i="1" s="1"/>
  <c r="G25" i="1"/>
  <c r="G26" i="1"/>
  <c r="G27" i="1"/>
  <c r="G28" i="1"/>
  <c r="G29" i="1"/>
  <c r="C41" i="1"/>
  <c r="G42" i="1" s="1"/>
  <c r="C42" i="1"/>
  <c r="C44" i="1"/>
  <c r="G44" i="1"/>
  <c r="G46" i="1"/>
  <c r="C34" i="1" l="1"/>
  <c r="D41" i="1"/>
  <c r="G33" i="1"/>
  <c r="H33" i="1" s="1"/>
  <c r="G30" i="1" s="1"/>
  <c r="G31" i="1" s="1"/>
  <c r="G32" i="1"/>
  <c r="H32" i="1" s="1"/>
  <c r="G34" i="1" l="1"/>
  <c r="H42" i="1"/>
  <c r="D53" i="1"/>
  <c r="D50" i="1"/>
  <c r="D54" i="1"/>
  <c r="C49" i="1"/>
  <c r="D35" i="1"/>
  <c r="D51" i="1"/>
  <c r="D36" i="1"/>
  <c r="D52" i="1"/>
  <c r="D37" i="1"/>
  <c r="C38" i="1" l="1"/>
  <c r="C55" i="1"/>
  <c r="G49" i="1"/>
  <c r="H53" i="1"/>
  <c r="H51" i="1"/>
  <c r="H37" i="1"/>
  <c r="H54" i="1"/>
  <c r="H35" i="1"/>
  <c r="H50" i="1"/>
  <c r="H36" i="1"/>
  <c r="H52" i="1"/>
  <c r="G55" i="1" l="1"/>
  <c r="G57" i="1" s="1"/>
  <c r="G38" i="1"/>
  <c r="C57" i="1"/>
  <c r="C56" i="1"/>
  <c r="C39" i="1"/>
  <c r="D40" i="1" s="1"/>
  <c r="C43" i="1"/>
  <c r="D45" i="1" s="1"/>
  <c r="C47" i="1" l="1"/>
  <c r="G39" i="1"/>
  <c r="G43" i="1"/>
  <c r="G56" i="1"/>
  <c r="H41" i="1" l="1"/>
  <c r="H40" i="1"/>
  <c r="H45" i="1" l="1"/>
  <c r="G47" i="1" s="1"/>
  <c r="J47" i="1" s="1"/>
  <c r="K47" i="1" s="1"/>
</calcChain>
</file>

<file path=xl/sharedStrings.xml><?xml version="1.0" encoding="utf-8"?>
<sst xmlns="http://schemas.openxmlformats.org/spreadsheetml/2006/main" count="82" uniqueCount="44">
  <si>
    <t>Całkowity koszt wynagrodzenia</t>
  </si>
  <si>
    <t xml:space="preserve">Suma składek ZUS </t>
  </si>
  <si>
    <t>Suma składek Pracodawcy</t>
  </si>
  <si>
    <t>FP</t>
  </si>
  <si>
    <t>FGŚP</t>
  </si>
  <si>
    <t>wypadkowa:</t>
  </si>
  <si>
    <t>rentowa:</t>
  </si>
  <si>
    <t>emerytalna:</t>
  </si>
  <si>
    <r>
      <t xml:space="preserve">Podstawa wymiaru składek FUS
</t>
    </r>
    <r>
      <rPr>
        <sz val="12"/>
        <color theme="1"/>
        <rFont val="Calibri"/>
        <family val="2"/>
        <charset val="238"/>
        <scheme val="minor"/>
      </rPr>
      <t>(wynagrodzenie za pracę)</t>
    </r>
  </si>
  <si>
    <r>
      <t xml:space="preserve">Do wypłaty:
</t>
    </r>
    <r>
      <rPr>
        <sz val="12"/>
        <color theme="1"/>
        <rFont val="Calibri"/>
        <family val="2"/>
        <charset val="238"/>
        <scheme val="minor"/>
      </rPr>
      <t>(przychód - PPK pracownik - składki FUS - zdrowotna 9% - zaliczka na podatek)</t>
    </r>
  </si>
  <si>
    <t>ROK</t>
  </si>
  <si>
    <t>MC</t>
  </si>
  <si>
    <t>INNE POTRĄCENIA:</t>
  </si>
  <si>
    <t>INNE POTRĄCENIA: (PPK, Ubezpieczenie)</t>
  </si>
  <si>
    <r>
      <rPr>
        <b/>
        <sz val="12"/>
        <color theme="1"/>
        <rFont val="Calibri"/>
        <family val="2"/>
        <charset val="238"/>
        <scheme val="minor"/>
      </rPr>
      <t>Zaliczka na podatek:</t>
    </r>
    <r>
      <rPr>
        <sz val="12"/>
        <color theme="1"/>
        <rFont val="Calibri"/>
        <family val="2"/>
        <charset val="238"/>
        <scheme val="minor"/>
      </rPr>
      <t xml:space="preserve">
(podstawa do opodatkowania x % podatku)</t>
    </r>
  </si>
  <si>
    <r>
      <rPr>
        <b/>
        <sz val="12"/>
        <color theme="1"/>
        <rFont val="Calibri"/>
        <family val="2"/>
        <charset val="238"/>
        <scheme val="minor"/>
      </rPr>
      <t>Ulga podatkowa:</t>
    </r>
    <r>
      <rPr>
        <sz val="12"/>
        <color theme="1"/>
        <rFont val="Calibri"/>
        <family val="2"/>
        <charset val="238"/>
        <scheme val="minor"/>
      </rPr>
      <t xml:space="preserve">
(złożony PIT-2)</t>
    </r>
  </si>
  <si>
    <r>
      <t xml:space="preserve">Podstawa do opodatkowania
</t>
    </r>
    <r>
      <rPr>
        <sz val="12"/>
        <color theme="1"/>
        <rFont val="Calibri"/>
        <family val="2"/>
        <charset val="238"/>
        <scheme val="minor"/>
      </rPr>
      <t>zaokrąglona do pełnch złotych
(łączny przychód - KUP - składku FUS - ulga dla pracownika)</t>
    </r>
  </si>
  <si>
    <r>
      <rPr>
        <b/>
        <sz val="12"/>
        <color theme="1"/>
        <rFont val="Calibri"/>
        <family val="2"/>
        <charset val="238"/>
        <scheme val="minor"/>
      </rPr>
      <t>Koszty uzyskania przychodu:</t>
    </r>
    <r>
      <rPr>
        <sz val="12"/>
        <color theme="1"/>
        <rFont val="Calibri"/>
        <family val="2"/>
        <charset val="238"/>
        <scheme val="minor"/>
      </rPr>
      <t xml:space="preserve">
(250,00 PLN lub 300,00 PLN)</t>
    </r>
  </si>
  <si>
    <t>Ulga dla klasy średniej</t>
  </si>
  <si>
    <t>Składka na ubezpieczenie zdrowotne do pobrania:</t>
  </si>
  <si>
    <r>
      <t xml:space="preserve">Podstawa wymiaru składki na ubezpieczenie zdrowotne:
</t>
    </r>
    <r>
      <rPr>
        <sz val="12"/>
        <color theme="1"/>
        <rFont val="Calibri"/>
        <family val="2"/>
        <charset val="238"/>
        <scheme val="minor"/>
      </rPr>
      <t>(podstawa FUS - składki FUS)</t>
    </r>
  </si>
  <si>
    <t>Razem składku FUS</t>
  </si>
  <si>
    <t>chorobowa:</t>
  </si>
  <si>
    <t>PPK - Pracodawca - 1,5%
(podstawa FUS)</t>
  </si>
  <si>
    <t>PPK - Pracownik - 2%</t>
  </si>
  <si>
    <t>Łączny przychód</t>
  </si>
  <si>
    <t>Przychód - PPK</t>
  </si>
  <si>
    <t>Pozostałe przychody (oskładkowane)</t>
  </si>
  <si>
    <t>Zasiłki</t>
  </si>
  <si>
    <t>Wynagrodzenie chorobowe</t>
  </si>
  <si>
    <t>Wynagrodzenie za pracę</t>
  </si>
  <si>
    <t>PRZED NOWYM ŁADEM</t>
  </si>
  <si>
    <t>NOWY ŁAD</t>
  </si>
  <si>
    <t>NIE</t>
  </si>
  <si>
    <t>TAK</t>
  </si>
  <si>
    <t>NALICZANIE ULGI DLA KLASY ŚREDNIEJ:</t>
  </si>
  <si>
    <t>PRACA W MIEJSCU ZAMIESZKANIA:</t>
  </si>
  <si>
    <t>POWYŻEJ  26 LAT:</t>
  </si>
  <si>
    <t>PODSTAWOWE DANE DO UZUPEŁNIENIA</t>
  </si>
  <si>
    <t>CZY ZOSTAŁA ZŁOŻOA DEKLARACJA PIT-2:</t>
  </si>
  <si>
    <t>UDZIAŁ W PPK:</t>
  </si>
  <si>
    <t xml:space="preserve">OPRACOWANIE: SMART-you Sp. z o.o. </t>
  </si>
  <si>
    <t xml:space="preserve">                                                                                    www.smart-you.pl, tel. 505-441-251</t>
  </si>
  <si>
    <t>STAWKA WYPADKOWA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</si>
</sst>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PLN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 style="mediumDashed">
        <color rgb="FFFF0000"/>
      </bottom>
      <diagonal/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5" borderId="25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6" fillId="3" borderId="23" xfId="0" applyFont="1" applyFill="1" applyBorder="1" applyProtection="1">
      <protection hidden="1"/>
    </xf>
    <xf numFmtId="164" fontId="4" fillId="0" borderId="19" xfId="0" applyNumberFormat="1" applyFont="1" applyBorder="1" applyProtection="1">
      <protection hidden="1"/>
    </xf>
    <xf numFmtId="4" fontId="0" fillId="0" borderId="0" xfId="0" applyNumberFormat="1" applyProtection="1">
      <protection hidden="1"/>
    </xf>
    <xf numFmtId="0" fontId="6" fillId="3" borderId="23" xfId="0" applyFont="1" applyFill="1" applyBorder="1" applyAlignment="1" applyProtection="1">
      <alignment vertical="center" wrapText="1"/>
      <protection hidden="1"/>
    </xf>
    <xf numFmtId="0" fontId="4" fillId="0" borderId="25" xfId="0" applyFont="1" applyBorder="1" applyProtection="1">
      <protection hidden="1"/>
    </xf>
    <xf numFmtId="10" fontId="4" fillId="0" borderId="0" xfId="0" applyNumberFormat="1" applyFont="1" applyAlignment="1" applyProtection="1">
      <alignment horizontal="left"/>
      <protection hidden="1"/>
    </xf>
    <xf numFmtId="164" fontId="4" fillId="0" borderId="24" xfId="0" applyNumberFormat="1" applyFont="1" applyBorder="1" applyProtection="1">
      <protection hidden="1"/>
    </xf>
    <xf numFmtId="0" fontId="6" fillId="3" borderId="23" xfId="0" applyFont="1" applyFill="1" applyBorder="1" applyAlignment="1" applyProtection="1">
      <alignment vertical="center"/>
      <protection hidden="1"/>
    </xf>
    <xf numFmtId="10" fontId="6" fillId="3" borderId="22" xfId="0" applyNumberFormat="1" applyFont="1" applyFill="1" applyBorder="1" applyAlignment="1" applyProtection="1">
      <alignment horizontal="left" vertical="center"/>
      <protection hidden="1"/>
    </xf>
    <xf numFmtId="164" fontId="6" fillId="3" borderId="16" xfId="0" applyNumberFormat="1" applyFont="1" applyFill="1" applyBorder="1" applyAlignment="1" applyProtection="1">
      <alignment vertical="center"/>
      <protection hidden="1"/>
    </xf>
    <xf numFmtId="10" fontId="6" fillId="3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164" fontId="4" fillId="0" borderId="20" xfId="0" applyNumberFormat="1" applyFont="1" applyBorder="1" applyAlignment="1" applyProtection="1">
      <alignment horizontal="left" vertical="center"/>
      <protection hidden="1"/>
    </xf>
    <xf numFmtId="164" fontId="4" fillId="0" borderId="19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3" borderId="23" xfId="0" applyFont="1" applyFill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0" fontId="4" fillId="0" borderId="15" xfId="0" applyFont="1" applyBorder="1" applyAlignment="1" applyProtection="1">
      <alignment vertical="center" wrapText="1"/>
      <protection hidden="1"/>
    </xf>
    <xf numFmtId="9" fontId="4" fillId="0" borderId="14" xfId="0" applyNumberFormat="1" applyFont="1" applyBorder="1" applyAlignment="1" applyProtection="1">
      <alignment horizontal="left" vertical="center"/>
      <protection hidden="1"/>
    </xf>
    <xf numFmtId="164" fontId="4" fillId="0" borderId="12" xfId="0" applyNumberFormat="1" applyFont="1" applyBorder="1" applyAlignment="1" applyProtection="1">
      <alignment vertical="center"/>
      <protection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0" fontId="6" fillId="3" borderId="15" xfId="0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Alignment="1" applyProtection="1">
      <alignment vertical="center"/>
      <protection hidden="1"/>
    </xf>
    <xf numFmtId="164" fontId="0" fillId="0" borderId="12" xfId="0" applyNumberFormat="1" applyBorder="1" applyAlignment="1" applyProtection="1">
      <alignment vertical="center"/>
      <protection hidden="1"/>
    </xf>
    <xf numFmtId="0" fontId="6" fillId="2" borderId="11" xfId="0" applyFont="1" applyFill="1" applyBorder="1" applyAlignment="1" applyProtection="1">
      <alignment vertical="center" wrapText="1"/>
      <protection hidden="1"/>
    </xf>
    <xf numFmtId="0" fontId="4" fillId="0" borderId="6" xfId="0" applyFont="1" applyBorder="1" applyProtection="1">
      <protection hidden="1"/>
    </xf>
    <xf numFmtId="10" fontId="4" fillId="0" borderId="8" xfId="0" applyNumberFormat="1" applyFont="1" applyBorder="1" applyAlignment="1" applyProtection="1">
      <alignment horizontal="left"/>
      <protection hidden="1"/>
    </xf>
    <xf numFmtId="164" fontId="4" fillId="0" borderId="7" xfId="0" applyNumberFormat="1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7" fillId="6" borderId="21" xfId="0" applyFont="1" applyFill="1" applyBorder="1" applyProtection="1">
      <protection hidden="1"/>
    </xf>
    <xf numFmtId="0" fontId="0" fillId="0" borderId="6" xfId="0" applyBorder="1" applyAlignment="1" applyProtection="1">
      <alignment horizontal="right"/>
      <protection hidden="1"/>
    </xf>
    <xf numFmtId="10" fontId="4" fillId="0" borderId="20" xfId="0" applyNumberFormat="1" applyFont="1" applyFill="1" applyBorder="1" applyAlignment="1" applyProtection="1">
      <alignment wrapText="1"/>
      <protection hidden="1"/>
    </xf>
    <xf numFmtId="10" fontId="4" fillId="0" borderId="14" xfId="0" applyNumberFormat="1" applyFont="1" applyFill="1" applyBorder="1" applyAlignment="1" applyProtection="1">
      <alignment wrapText="1"/>
      <protection hidden="1"/>
    </xf>
    <xf numFmtId="0" fontId="6" fillId="3" borderId="21" xfId="0" applyFont="1" applyFill="1" applyBorder="1" applyProtection="1">
      <protection hidden="1"/>
    </xf>
    <xf numFmtId="0" fontId="4" fillId="0" borderId="27" xfId="0" applyFont="1" applyBorder="1" applyAlignment="1" applyProtection="1">
      <alignment wrapText="1"/>
      <protection hidden="1"/>
    </xf>
    <xf numFmtId="0" fontId="4" fillId="0" borderId="28" xfId="0" applyFont="1" applyBorder="1" applyAlignment="1" applyProtection="1">
      <alignment wrapText="1"/>
      <protection hidden="1"/>
    </xf>
    <xf numFmtId="164" fontId="4" fillId="0" borderId="12" xfId="0" applyNumberFormat="1" applyFont="1" applyBorder="1" applyProtection="1">
      <protection hidden="1"/>
    </xf>
    <xf numFmtId="0" fontId="0" fillId="9" borderId="0" xfId="0" applyFill="1" applyProtection="1">
      <protection hidden="1"/>
    </xf>
    <xf numFmtId="0" fontId="7" fillId="6" borderId="27" xfId="0" applyFont="1" applyFill="1" applyBorder="1" applyProtection="1">
      <protection hidden="1"/>
    </xf>
    <xf numFmtId="0" fontId="4" fillId="0" borderId="32" xfId="0" applyFont="1" applyBorder="1" applyProtection="1">
      <protection hidden="1"/>
    </xf>
    <xf numFmtId="0" fontId="4" fillId="0" borderId="28" xfId="0" applyFont="1" applyBorder="1" applyAlignment="1" applyProtection="1">
      <alignment vertical="center" wrapText="1"/>
      <protection hidden="1"/>
    </xf>
    <xf numFmtId="9" fontId="4" fillId="0" borderId="0" xfId="0" applyNumberFormat="1" applyFont="1" applyBorder="1" applyAlignment="1" applyProtection="1">
      <alignment horizontal="left" vertical="center"/>
      <protection hidden="1"/>
    </xf>
    <xf numFmtId="164" fontId="4" fillId="0" borderId="24" xfId="0" applyNumberFormat="1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right"/>
      <protection hidden="1"/>
    </xf>
    <xf numFmtId="0" fontId="0" fillId="0" borderId="29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right"/>
      <protection hidden="1"/>
    </xf>
    <xf numFmtId="10" fontId="0" fillId="0" borderId="29" xfId="0" applyNumberForma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164" fontId="3" fillId="2" borderId="2" xfId="0" applyNumberFormat="1" applyFont="1" applyFill="1" applyBorder="1" applyAlignment="1" applyProtection="1">
      <alignment horizontal="right"/>
      <protection hidden="1"/>
    </xf>
    <xf numFmtId="164" fontId="3" fillId="2" borderId="1" xfId="0" applyNumberFormat="1" applyFont="1" applyFill="1" applyBorder="1" applyAlignment="1" applyProtection="1">
      <alignment horizontal="right"/>
      <protection hidden="1"/>
    </xf>
    <xf numFmtId="0" fontId="1" fillId="8" borderId="27" xfId="0" applyFont="1" applyFill="1" applyBorder="1" applyAlignment="1" applyProtection="1">
      <alignment horizontal="center"/>
      <protection hidden="1"/>
    </xf>
    <xf numFmtId="0" fontId="1" fillId="8" borderId="19" xfId="0" applyFont="1" applyFill="1" applyBorder="1" applyAlignment="1" applyProtection="1">
      <alignment horizontal="center"/>
      <protection hidden="1"/>
    </xf>
    <xf numFmtId="164" fontId="6" fillId="2" borderId="10" xfId="0" applyNumberFormat="1" applyFont="1" applyFill="1" applyBorder="1" applyAlignment="1" applyProtection="1">
      <alignment horizontal="right" vertical="center"/>
      <protection hidden="1"/>
    </xf>
    <xf numFmtId="164" fontId="6" fillId="2" borderId="9" xfId="0" applyNumberFormat="1" applyFont="1" applyFill="1" applyBorder="1" applyAlignment="1" applyProtection="1">
      <alignment horizontal="right" vertical="center"/>
      <protection hidden="1"/>
    </xf>
    <xf numFmtId="164" fontId="5" fillId="0" borderId="5" xfId="0" applyNumberFormat="1" applyFont="1" applyBorder="1" applyAlignment="1" applyProtection="1">
      <alignment horizontal="right"/>
      <protection hidden="1"/>
    </xf>
    <xf numFmtId="164" fontId="5" fillId="0" borderId="4" xfId="0" applyNumberFormat="1" applyFont="1" applyBorder="1" applyAlignment="1" applyProtection="1">
      <alignment horizontal="righ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164" fontId="4" fillId="0" borderId="20" xfId="0" applyNumberFormat="1" applyFont="1" applyBorder="1" applyAlignment="1" applyProtection="1">
      <alignment horizontal="right" vertical="center"/>
      <protection hidden="1"/>
    </xf>
    <xf numFmtId="164" fontId="4" fillId="0" borderId="19" xfId="0" applyNumberFormat="1" applyFont="1" applyBorder="1" applyAlignment="1" applyProtection="1">
      <alignment horizontal="right" vertical="center"/>
      <protection hidden="1"/>
    </xf>
    <xf numFmtId="164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4" fillId="0" borderId="18" xfId="0" applyNumberFormat="1" applyFont="1" applyFill="1" applyBorder="1" applyAlignment="1" applyProtection="1">
      <alignment horizontal="right" vertical="center"/>
      <protection hidden="1"/>
    </xf>
    <xf numFmtId="164" fontId="4" fillId="0" borderId="16" xfId="0" applyNumberFormat="1" applyFont="1" applyFill="1" applyBorder="1" applyAlignment="1" applyProtection="1">
      <alignment horizontal="right" vertical="center"/>
      <protection hidden="1"/>
    </xf>
    <xf numFmtId="164" fontId="6" fillId="3" borderId="14" xfId="0" applyNumberFormat="1" applyFont="1" applyFill="1" applyBorder="1" applyAlignment="1" applyProtection="1">
      <alignment horizontal="right" vertical="center"/>
      <protection hidden="1"/>
    </xf>
    <xf numFmtId="164" fontId="6" fillId="3" borderId="12" xfId="0" applyNumberFormat="1" applyFont="1" applyFill="1" applyBorder="1" applyAlignment="1" applyProtection="1">
      <alignment horizontal="right" vertical="center"/>
      <protection hidden="1"/>
    </xf>
    <xf numFmtId="164" fontId="6" fillId="3" borderId="22" xfId="0" applyNumberFormat="1" applyFont="1" applyFill="1" applyBorder="1" applyAlignment="1" applyProtection="1">
      <alignment horizontal="right" vertical="center"/>
      <protection hidden="1"/>
    </xf>
    <xf numFmtId="164" fontId="6" fillId="3" borderId="16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164" fontId="4" fillId="0" borderId="24" xfId="0" applyNumberFormat="1" applyFont="1" applyBorder="1" applyAlignment="1" applyProtection="1">
      <alignment horizontal="right"/>
      <protection hidden="1"/>
    </xf>
    <xf numFmtId="164" fontId="6" fillId="3" borderId="20" xfId="0" applyNumberFormat="1" applyFont="1" applyFill="1" applyBorder="1" applyAlignment="1" applyProtection="1">
      <alignment horizontal="right"/>
      <protection hidden="1"/>
    </xf>
    <xf numFmtId="164" fontId="6" fillId="3" borderId="19" xfId="0" applyNumberFormat="1" applyFont="1" applyFill="1" applyBorder="1" applyAlignment="1" applyProtection="1">
      <alignment horizontal="right"/>
      <protection hidden="1"/>
    </xf>
    <xf numFmtId="164" fontId="6" fillId="3" borderId="22" xfId="0" applyNumberFormat="1" applyFont="1" applyFill="1" applyBorder="1" applyAlignment="1" applyProtection="1">
      <alignment horizontal="right"/>
      <protection hidden="1"/>
    </xf>
    <xf numFmtId="164" fontId="6" fillId="3" borderId="16" xfId="0" applyNumberFormat="1" applyFont="1" applyFill="1" applyBorder="1" applyAlignment="1" applyProtection="1">
      <alignment horizontal="right"/>
      <protection hidden="1"/>
    </xf>
    <xf numFmtId="164" fontId="4" fillId="0" borderId="30" xfId="0" applyNumberFormat="1" applyFont="1" applyBorder="1" applyAlignment="1" applyProtection="1">
      <alignment horizontal="right"/>
      <protection locked="0"/>
    </xf>
    <xf numFmtId="164" fontId="4" fillId="0" borderId="31" xfId="0" applyNumberFormat="1" applyFont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hidden="1"/>
    </xf>
    <xf numFmtId="0" fontId="0" fillId="7" borderId="22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164" fontId="7" fillId="6" borderId="30" xfId="0" applyNumberFormat="1" applyFont="1" applyFill="1" applyBorder="1" applyAlignment="1" applyProtection="1">
      <alignment horizontal="right"/>
      <protection locked="0"/>
    </xf>
    <xf numFmtId="164" fontId="7" fillId="6" borderId="31" xfId="0" applyNumberFormat="1" applyFont="1" applyFill="1" applyBorder="1" applyAlignment="1" applyProtection="1">
      <alignment horizontal="right"/>
      <protection locked="0"/>
    </xf>
    <xf numFmtId="164" fontId="7" fillId="6" borderId="20" xfId="0" applyNumberFormat="1" applyFont="1" applyFill="1" applyBorder="1" applyAlignment="1" applyProtection="1">
      <alignment horizontal="right"/>
      <protection hidden="1"/>
    </xf>
    <xf numFmtId="164" fontId="7" fillId="6" borderId="19" xfId="0" applyNumberFormat="1" applyFont="1" applyFill="1" applyBorder="1" applyAlignment="1" applyProtection="1">
      <alignment horizontal="right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2226466</xdr:colOff>
      <xdr:row>0</xdr:row>
      <xdr:rowOff>0</xdr:rowOff>
    </xdr:from>
    <xdr:to>
      <xdr:col>9</xdr:col>
      <xdr:colOff>476250</xdr:colOff>
      <xdr:row>17</xdr:row>
      <xdr:rowOff>142874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3E06B83-FBFF-4A6E-AA60-3B238027E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935" y="0"/>
          <a:ext cx="3929065" cy="3476624"/>
        </a:xfrm>
        <a:prstGeom prst="rect">
          <a:avLst/>
        </a:prstGeom>
      </xdr:spPr>
    </xdr:pic>
    <xdr:clientData/>
  </xdr:twoCellAnchor>
  <xdr:twoCellAnchor editAs="oneCell">
    <xdr:from>
      <xdr:col>1</xdr:col>
      <xdr:colOff>1262062</xdr:colOff>
      <xdr:row>2</xdr:row>
      <xdr:rowOff>59533</xdr:rowOff>
    </xdr:from>
    <xdr:to>
      <xdr:col>5</xdr:col>
      <xdr:colOff>223837</xdr:colOff>
      <xdr:row>10</xdr:row>
      <xdr:rowOff>15529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128B6CBD-66FF-4948-B5C4-6B92C8B4D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281" y="440533"/>
          <a:ext cx="5153025" cy="1479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88BC-884F-4407-859F-AD21E3622843}">
  <dimension ref="A1:M63"/>
  <sheetViews>
    <sheetView showGridLines="0" tabSelected="1" zoomScale="80" zoomScaleNormal="80" workbookViewId="0">
      <selection sqref="A1:K2"/>
    </sheetView>
  </sheetViews>
  <sheetFormatPr defaultRowHeight="15" x14ac:dyDescent="0.25"/>
  <cols>
    <col min="1" max="1" width="9.140625" style="3"/>
    <col min="2" max="2" width="51.42578125" style="3" bestFit="1" customWidth="1"/>
    <col min="3" max="3" width="12.140625" style="3" bestFit="1" customWidth="1"/>
    <col min="4" max="4" width="12.42578125" style="3" bestFit="1" customWidth="1"/>
    <col min="5" max="5" width="16.85546875" style="3" customWidth="1"/>
    <col min="6" max="6" width="51.42578125" style="3" bestFit="1" customWidth="1"/>
    <col min="7" max="7" width="12.140625" style="3" bestFit="1" customWidth="1"/>
    <col min="8" max="8" width="12.42578125" style="3" bestFit="1" customWidth="1"/>
    <col min="9" max="9" width="9.140625" style="3"/>
    <col min="10" max="10" width="11.85546875" style="3" bestFit="1" customWidth="1"/>
    <col min="11" max="11" width="13.42578125" style="3" bestFit="1" customWidth="1"/>
    <col min="12" max="13" width="10.140625" style="3" bestFit="1" customWidth="1"/>
    <col min="14" max="16384" width="9.140625" style="3"/>
  </cols>
  <sheetData>
    <row r="1" spans="1:1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12" spans="1:11" ht="18.75" x14ac:dyDescent="0.3">
      <c r="A12" s="56" t="s">
        <v>42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4" spans="1:11" ht="15.75" thickBot="1" x14ac:dyDescent="0.3"/>
    <row r="15" spans="1:11" ht="15.75" thickBot="1" x14ac:dyDescent="0.3">
      <c r="B15" s="59" t="s">
        <v>38</v>
      </c>
      <c r="C15" s="60"/>
      <c r="F15" s="44"/>
    </row>
    <row r="16" spans="1:11" ht="15.75" thickBot="1" x14ac:dyDescent="0.3">
      <c r="B16" s="50" t="s">
        <v>37</v>
      </c>
      <c r="C16" s="51" t="s">
        <v>34</v>
      </c>
      <c r="F16" s="44"/>
    </row>
    <row r="17" spans="2:8" ht="15.75" thickBot="1" x14ac:dyDescent="0.3">
      <c r="B17" s="37" t="s">
        <v>36</v>
      </c>
      <c r="C17" s="51" t="s">
        <v>33</v>
      </c>
    </row>
    <row r="18" spans="2:8" ht="15.75" thickBot="1" x14ac:dyDescent="0.3">
      <c r="B18" s="37" t="s">
        <v>35</v>
      </c>
      <c r="C18" s="51" t="s">
        <v>34</v>
      </c>
    </row>
    <row r="19" spans="2:8" ht="15.75" thickBot="1" x14ac:dyDescent="0.3">
      <c r="B19" s="37" t="s">
        <v>39</v>
      </c>
      <c r="C19" s="51" t="s">
        <v>34</v>
      </c>
    </row>
    <row r="20" spans="2:8" ht="15.75" thickBot="1" x14ac:dyDescent="0.3">
      <c r="B20" s="37" t="s">
        <v>40</v>
      </c>
      <c r="C20" s="51" t="s">
        <v>33</v>
      </c>
    </row>
    <row r="21" spans="2:8" ht="15.75" thickBot="1" x14ac:dyDescent="0.3">
      <c r="B21" s="52" t="s">
        <v>43</v>
      </c>
      <c r="C21" s="53">
        <v>1.67E-2</v>
      </c>
    </row>
    <row r="22" spans="2:8" ht="15.75" thickBot="1" x14ac:dyDescent="0.3"/>
    <row r="23" spans="2:8" ht="15.75" thickBot="1" x14ac:dyDescent="0.3">
      <c r="B23" s="85" t="s">
        <v>32</v>
      </c>
      <c r="C23" s="86"/>
      <c r="D23" s="87"/>
      <c r="F23" s="85" t="s">
        <v>31</v>
      </c>
      <c r="G23" s="86"/>
      <c r="H23" s="87"/>
    </row>
    <row r="24" spans="2:8" ht="15.75" thickBot="1" x14ac:dyDescent="0.3"/>
    <row r="25" spans="2:8" ht="16.5" thickBot="1" x14ac:dyDescent="0.3">
      <c r="B25" s="45" t="s">
        <v>30</v>
      </c>
      <c r="C25" s="88">
        <v>5000</v>
      </c>
      <c r="D25" s="89"/>
      <c r="E25" s="2"/>
      <c r="F25" s="36" t="s">
        <v>30</v>
      </c>
      <c r="G25" s="90">
        <f>C25</f>
        <v>5000</v>
      </c>
      <c r="H25" s="91"/>
    </row>
    <row r="26" spans="2:8" ht="16.5" thickBot="1" x14ac:dyDescent="0.3">
      <c r="B26" s="46" t="s">
        <v>29</v>
      </c>
      <c r="C26" s="83">
        <v>0</v>
      </c>
      <c r="D26" s="84"/>
      <c r="E26" s="2"/>
      <c r="F26" s="8" t="s">
        <v>29</v>
      </c>
      <c r="G26" s="77">
        <f>C26</f>
        <v>0</v>
      </c>
      <c r="H26" s="78"/>
    </row>
    <row r="27" spans="2:8" ht="16.5" thickBot="1" x14ac:dyDescent="0.3">
      <c r="B27" s="46" t="s">
        <v>28</v>
      </c>
      <c r="C27" s="83">
        <v>0</v>
      </c>
      <c r="D27" s="84"/>
      <c r="E27" s="2"/>
      <c r="F27" s="8" t="s">
        <v>28</v>
      </c>
      <c r="G27" s="77">
        <f>C27</f>
        <v>0</v>
      </c>
      <c r="H27" s="78"/>
    </row>
    <row r="28" spans="2:8" ht="16.5" thickBot="1" x14ac:dyDescent="0.3">
      <c r="B28" s="8" t="s">
        <v>27</v>
      </c>
      <c r="C28" s="83">
        <v>0</v>
      </c>
      <c r="D28" s="84"/>
      <c r="E28" s="2"/>
      <c r="F28" s="8" t="s">
        <v>27</v>
      </c>
      <c r="G28" s="77">
        <f>C28</f>
        <v>0</v>
      </c>
      <c r="H28" s="78"/>
    </row>
    <row r="29" spans="2:8" ht="16.5" thickBot="1" x14ac:dyDescent="0.3">
      <c r="B29" s="8" t="s">
        <v>27</v>
      </c>
      <c r="C29" s="83">
        <v>0</v>
      </c>
      <c r="D29" s="84"/>
      <c r="E29" s="2"/>
      <c r="F29" s="8" t="s">
        <v>27</v>
      </c>
      <c r="G29" s="77">
        <f>C29</f>
        <v>0</v>
      </c>
      <c r="H29" s="78"/>
    </row>
    <row r="30" spans="2:8" ht="16.5" thickBot="1" x14ac:dyDescent="0.3">
      <c r="B30" s="1" t="s">
        <v>26</v>
      </c>
      <c r="C30" s="77">
        <f>$D$33</f>
        <v>0</v>
      </c>
      <c r="D30" s="78"/>
      <c r="E30" s="2"/>
      <c r="F30" s="1" t="s">
        <v>26</v>
      </c>
      <c r="G30" s="77">
        <f>$H$33</f>
        <v>0</v>
      </c>
      <c r="H30" s="78"/>
    </row>
    <row r="31" spans="2:8" ht="16.5" thickBot="1" x14ac:dyDescent="0.3">
      <c r="B31" s="40" t="s">
        <v>25</v>
      </c>
      <c r="C31" s="79">
        <f>SUM(C25:D30)</f>
        <v>5000</v>
      </c>
      <c r="D31" s="80"/>
      <c r="E31" s="2"/>
      <c r="F31" s="4" t="s">
        <v>25</v>
      </c>
      <c r="G31" s="81">
        <f>SUM(G25:H30)</f>
        <v>5000</v>
      </c>
      <c r="H31" s="82"/>
    </row>
    <row r="32" spans="2:8" ht="15.75" x14ac:dyDescent="0.25">
      <c r="B32" s="41" t="s">
        <v>24</v>
      </c>
      <c r="C32" s="38">
        <f>IF(C20="TAK",2%,0)</f>
        <v>0</v>
      </c>
      <c r="D32" s="5">
        <f>($C$25+SUM($C$28))*$C32</f>
        <v>0</v>
      </c>
      <c r="E32" s="2"/>
      <c r="F32" s="41" t="s">
        <v>24</v>
      </c>
      <c r="G32" s="38">
        <f>C32</f>
        <v>0</v>
      </c>
      <c r="H32" s="5">
        <f>($G$25+SUM($G$28))*$G32</f>
        <v>0</v>
      </c>
    </row>
    <row r="33" spans="2:13" ht="32.25" thickBot="1" x14ac:dyDescent="0.3">
      <c r="B33" s="42" t="s">
        <v>23</v>
      </c>
      <c r="C33" s="39">
        <f>IF(C20="TAK",1.5%,0)</f>
        <v>0</v>
      </c>
      <c r="D33" s="43">
        <f>($C$25+SUM($C$28))*$C33</f>
        <v>0</v>
      </c>
      <c r="E33" s="2"/>
      <c r="F33" s="42" t="s">
        <v>23</v>
      </c>
      <c r="G33" s="39">
        <f>C33</f>
        <v>0</v>
      </c>
      <c r="H33" s="43">
        <f>($G$25+SUM($G$28))*$G33</f>
        <v>0</v>
      </c>
      <c r="J33" s="6"/>
    </row>
    <row r="34" spans="2:13" ht="32.25" thickBot="1" x14ac:dyDescent="0.3">
      <c r="B34" s="27" t="s">
        <v>8</v>
      </c>
      <c r="C34" s="73">
        <f>C31-C30-C26-C27</f>
        <v>5000</v>
      </c>
      <c r="D34" s="74"/>
      <c r="E34" s="2"/>
      <c r="F34" s="7" t="s">
        <v>8</v>
      </c>
      <c r="G34" s="75">
        <f>G31-G30-G26-G27</f>
        <v>5000</v>
      </c>
      <c r="H34" s="76"/>
    </row>
    <row r="35" spans="2:13" ht="15.75" x14ac:dyDescent="0.25">
      <c r="B35" s="8" t="s">
        <v>7</v>
      </c>
      <c r="C35" s="9">
        <v>9.7600000000000006E-2</v>
      </c>
      <c r="D35" s="10">
        <f>ROUND($C$34*$C35,2)</f>
        <v>488</v>
      </c>
      <c r="E35" s="2"/>
      <c r="F35" s="8" t="s">
        <v>7</v>
      </c>
      <c r="G35" s="9">
        <v>9.7600000000000006E-2</v>
      </c>
      <c r="H35" s="10">
        <f>ROUND($G$34*$G35,2)</f>
        <v>488</v>
      </c>
    </row>
    <row r="36" spans="2:13" ht="15.75" x14ac:dyDescent="0.25">
      <c r="B36" s="8" t="s">
        <v>6</v>
      </c>
      <c r="C36" s="9">
        <v>1.4999999999999999E-2</v>
      </c>
      <c r="D36" s="10">
        <f>ROUND($C$34*$C36,2)</f>
        <v>75</v>
      </c>
      <c r="E36" s="2"/>
      <c r="F36" s="8" t="s">
        <v>6</v>
      </c>
      <c r="G36" s="9">
        <v>1.4999999999999999E-2</v>
      </c>
      <c r="H36" s="10">
        <f>ROUND($G$34*$G36,2)</f>
        <v>75</v>
      </c>
    </row>
    <row r="37" spans="2:13" ht="16.5" thickBot="1" x14ac:dyDescent="0.3">
      <c r="B37" s="8" t="s">
        <v>22</v>
      </c>
      <c r="C37" s="9">
        <v>2.4500000000000001E-2</v>
      </c>
      <c r="D37" s="10">
        <f>ROUND($C$34*$C37,2)</f>
        <v>122.5</v>
      </c>
      <c r="E37" s="2"/>
      <c r="F37" s="8" t="s">
        <v>22</v>
      </c>
      <c r="G37" s="9">
        <v>2.4500000000000001E-2</v>
      </c>
      <c r="H37" s="10">
        <f>ROUND($G$34*$G37,2)</f>
        <v>122.5</v>
      </c>
    </row>
    <row r="38" spans="2:13" ht="16.5" thickBot="1" x14ac:dyDescent="0.3">
      <c r="B38" s="11" t="s">
        <v>21</v>
      </c>
      <c r="C38" s="75">
        <f>SUM(D35:D37)</f>
        <v>685.5</v>
      </c>
      <c r="D38" s="76"/>
      <c r="E38" s="2"/>
      <c r="F38" s="11" t="s">
        <v>21</v>
      </c>
      <c r="G38" s="75">
        <f>SUM(H35:H37)</f>
        <v>685.5</v>
      </c>
      <c r="H38" s="76"/>
    </row>
    <row r="39" spans="2:13" ht="48" thickBot="1" x14ac:dyDescent="0.3">
      <c r="B39" s="7" t="s">
        <v>20</v>
      </c>
      <c r="C39" s="75">
        <f>SUM(C25,C26,C28,C29)-C38</f>
        <v>4314.5</v>
      </c>
      <c r="D39" s="76"/>
      <c r="E39" s="2"/>
      <c r="F39" s="7" t="s">
        <v>20</v>
      </c>
      <c r="G39" s="75">
        <f>SUM(G25,G26,G28,G29)-G38</f>
        <v>4314.5</v>
      </c>
      <c r="H39" s="76"/>
    </row>
    <row r="40" spans="2:13" ht="16.5" thickBot="1" x14ac:dyDescent="0.3">
      <c r="B40" s="7" t="s">
        <v>19</v>
      </c>
      <c r="C40" s="12">
        <v>0.09</v>
      </c>
      <c r="D40" s="13">
        <f>ROUND(C39*C40,2)</f>
        <v>388.31</v>
      </c>
      <c r="E40" s="2"/>
      <c r="F40" s="7" t="s">
        <v>19</v>
      </c>
      <c r="G40" s="12">
        <v>7.7499999999999999E-2</v>
      </c>
      <c r="H40" s="13">
        <f>ROUND(G39*G40,2)</f>
        <v>334.37</v>
      </c>
    </row>
    <row r="41" spans="2:13" ht="32.25" thickBot="1" x14ac:dyDescent="0.3">
      <c r="B41" s="7" t="s">
        <v>17</v>
      </c>
      <c r="C41" s="13">
        <f>IF(C17="TAK",250,300)</f>
        <v>300</v>
      </c>
      <c r="D41" s="13">
        <f>IF(C27=C31,0,C41)</f>
        <v>300</v>
      </c>
      <c r="E41" s="2"/>
      <c r="F41" s="7" t="s">
        <v>19</v>
      </c>
      <c r="G41" s="14">
        <v>1.2500000000000001E-2</v>
      </c>
      <c r="H41" s="13">
        <f>ROUND(G39*G41,2)</f>
        <v>53.93</v>
      </c>
    </row>
    <row r="42" spans="2:13" s="19" customFormat="1" ht="32.25" thickBot="1" x14ac:dyDescent="0.3">
      <c r="B42" s="15" t="s">
        <v>18</v>
      </c>
      <c r="C42" s="16">
        <f>IF(C18="NIE",0,IF(C25&gt;11141,0,IF(C25&gt;8549,(C25*(-7.35%)+819.08)/17%,IF(C25&gt;5701,(C25*6.68%-380.5)/17%,0))))</f>
        <v>0</v>
      </c>
      <c r="D42" s="17"/>
      <c r="E42" s="18"/>
      <c r="F42" s="15" t="s">
        <v>17</v>
      </c>
      <c r="G42" s="16">
        <f>C41</f>
        <v>300</v>
      </c>
      <c r="H42" s="17">
        <f>IF(G27=G31,0,C41)</f>
        <v>300</v>
      </c>
    </row>
    <row r="43" spans="2:13" ht="63.75" thickBot="1" x14ac:dyDescent="0.3">
      <c r="B43" s="20" t="s">
        <v>16</v>
      </c>
      <c r="C43" s="75">
        <f>ROUND(C31-D41-C38-C42,)</f>
        <v>4015</v>
      </c>
      <c r="D43" s="76"/>
      <c r="E43" s="2"/>
      <c r="F43" s="20" t="s">
        <v>16</v>
      </c>
      <c r="G43" s="75">
        <f>ROUND(G31-H42-G38,)</f>
        <v>4015</v>
      </c>
      <c r="H43" s="76"/>
      <c r="K43" s="21"/>
    </row>
    <row r="44" spans="2:13" ht="31.5" x14ac:dyDescent="0.25">
      <c r="B44" s="15" t="s">
        <v>15</v>
      </c>
      <c r="C44" s="67">
        <f>IF(C19="TAK",425,0)</f>
        <v>425</v>
      </c>
      <c r="D44" s="68"/>
      <c r="E44" s="2"/>
      <c r="F44" s="15" t="s">
        <v>15</v>
      </c>
      <c r="G44" s="67">
        <f>IF(C19="TAK",43.76,0)</f>
        <v>43.76</v>
      </c>
      <c r="H44" s="68"/>
      <c r="K44" s="6"/>
      <c r="L44" s="6"/>
      <c r="M44" s="21"/>
    </row>
    <row r="45" spans="2:13" ht="32.25" thickBot="1" x14ac:dyDescent="0.3">
      <c r="B45" s="22" t="s">
        <v>14</v>
      </c>
      <c r="C45" s="48">
        <v>0.17</v>
      </c>
      <c r="D45" s="49">
        <f>IF($C$16="TAK",IF(ROUND(C43*C45-C44,)&lt;=0,0,ROUND(C43*C45-C44,)),0)</f>
        <v>258</v>
      </c>
      <c r="E45" s="2"/>
      <c r="F45" s="22" t="s">
        <v>14</v>
      </c>
      <c r="G45" s="23">
        <v>0.17</v>
      </c>
      <c r="H45" s="24">
        <f>IF($C$16="TAK",IF(ROUND(G43*G45-H40-G44,)&lt;=0,0,ROUND(G43*G45-H40-G44,)))</f>
        <v>304</v>
      </c>
      <c r="J45" s="21"/>
      <c r="K45" s="21"/>
      <c r="L45" s="21"/>
    </row>
    <row r="46" spans="2:13" ht="16.5" thickBot="1" x14ac:dyDescent="0.3">
      <c r="B46" s="47" t="s">
        <v>13</v>
      </c>
      <c r="C46" s="69">
        <v>20</v>
      </c>
      <c r="D46" s="70"/>
      <c r="E46" s="2"/>
      <c r="F46" s="22" t="s">
        <v>12</v>
      </c>
      <c r="G46" s="71">
        <f>C46</f>
        <v>20</v>
      </c>
      <c r="H46" s="72"/>
      <c r="J46" s="25" t="s">
        <v>11</v>
      </c>
      <c r="K46" s="26" t="s">
        <v>10</v>
      </c>
    </row>
    <row r="47" spans="2:13" ht="48" thickBot="1" x14ac:dyDescent="0.3">
      <c r="B47" s="27" t="s">
        <v>9</v>
      </c>
      <c r="C47" s="73">
        <f>C25-D32-C38-D40-D45-C46+C26+C27</f>
        <v>3648.19</v>
      </c>
      <c r="D47" s="74"/>
      <c r="E47" s="2"/>
      <c r="F47" s="27" t="s">
        <v>9</v>
      </c>
      <c r="G47" s="73">
        <f>G25-H32-G38-H40-H45-G46-H41+G26+G27</f>
        <v>3602.2000000000003</v>
      </c>
      <c r="H47" s="74"/>
      <c r="J47" s="28">
        <f>C47-G47</f>
        <v>45.989999999999782</v>
      </c>
      <c r="K47" s="29">
        <f>J47*12</f>
        <v>551.87999999999738</v>
      </c>
    </row>
    <row r="48" spans="2:13" ht="15.75" thickBot="1" x14ac:dyDescent="0.3">
      <c r="D48" s="6"/>
      <c r="H48" s="6"/>
    </row>
    <row r="49" spans="1:11" ht="31.5" x14ac:dyDescent="0.25">
      <c r="B49" s="30" t="s">
        <v>8</v>
      </c>
      <c r="C49" s="61">
        <f>C34</f>
        <v>5000</v>
      </c>
      <c r="D49" s="62"/>
      <c r="F49" s="30" t="s">
        <v>8</v>
      </c>
      <c r="G49" s="61">
        <f>G34</f>
        <v>5000</v>
      </c>
      <c r="H49" s="62"/>
    </row>
    <row r="50" spans="1:11" ht="15.75" x14ac:dyDescent="0.25">
      <c r="B50" s="31" t="s">
        <v>7</v>
      </c>
      <c r="C50" s="32">
        <v>9.7600000000000006E-2</v>
      </c>
      <c r="D50" s="33">
        <f>ROUND($C$34*$C50,2)</f>
        <v>488</v>
      </c>
      <c r="F50" s="31" t="s">
        <v>7</v>
      </c>
      <c r="G50" s="32">
        <v>9.7600000000000006E-2</v>
      </c>
      <c r="H50" s="33">
        <f>ROUND($G$34*$G50,2)</f>
        <v>488</v>
      </c>
    </row>
    <row r="51" spans="1:11" ht="15.75" x14ac:dyDescent="0.25">
      <c r="B51" s="31" t="s">
        <v>6</v>
      </c>
      <c r="C51" s="32">
        <v>6.5000000000000002E-2</v>
      </c>
      <c r="D51" s="33">
        <f>ROUND($C$34*$C51,2)</f>
        <v>325</v>
      </c>
      <c r="F51" s="31" t="s">
        <v>6</v>
      </c>
      <c r="G51" s="32">
        <v>6.5000000000000002E-2</v>
      </c>
      <c r="H51" s="33">
        <f>ROUND($G$34*$G51,2)</f>
        <v>325</v>
      </c>
    </row>
    <row r="52" spans="1:11" ht="15.75" x14ac:dyDescent="0.25">
      <c r="B52" s="31" t="s">
        <v>5</v>
      </c>
      <c r="C52" s="32">
        <f>C21</f>
        <v>1.67E-2</v>
      </c>
      <c r="D52" s="33">
        <f>ROUND($C$34*$C52,2)</f>
        <v>83.5</v>
      </c>
      <c r="F52" s="31" t="s">
        <v>5</v>
      </c>
      <c r="G52" s="32">
        <v>8.3999999999999995E-3</v>
      </c>
      <c r="H52" s="33">
        <f>ROUND($G$34*$G52,2)</f>
        <v>42</v>
      </c>
    </row>
    <row r="53" spans="1:11" ht="15.75" x14ac:dyDescent="0.25">
      <c r="B53" s="31" t="s">
        <v>4</v>
      </c>
      <c r="C53" s="32">
        <v>1E-3</v>
      </c>
      <c r="D53" s="33">
        <f>ROUND($C$34*$C53,2)</f>
        <v>5</v>
      </c>
      <c r="F53" s="31" t="s">
        <v>4</v>
      </c>
      <c r="G53" s="32">
        <v>1E-3</v>
      </c>
      <c r="H53" s="33">
        <f>ROUND($G$34*$G53,2)</f>
        <v>5</v>
      </c>
    </row>
    <row r="54" spans="1:11" ht="15.75" x14ac:dyDescent="0.25">
      <c r="B54" s="31" t="s">
        <v>3</v>
      </c>
      <c r="C54" s="32">
        <v>2.4500000000000001E-2</v>
      </c>
      <c r="D54" s="33">
        <f>ROUND($C$34*$C54,2)</f>
        <v>122.5</v>
      </c>
      <c r="F54" s="31" t="s">
        <v>3</v>
      </c>
      <c r="G54" s="32">
        <v>2.4500000000000001E-2</v>
      </c>
      <c r="H54" s="33">
        <f>ROUND($G$34*$G54,2)</f>
        <v>122.5</v>
      </c>
    </row>
    <row r="55" spans="1:11" ht="17.25" x14ac:dyDescent="0.3">
      <c r="B55" s="34" t="s">
        <v>2</v>
      </c>
      <c r="C55" s="63">
        <f>SUM(D50:D54)</f>
        <v>1024</v>
      </c>
      <c r="D55" s="64"/>
      <c r="F55" s="34" t="s">
        <v>2</v>
      </c>
      <c r="G55" s="63">
        <f>SUM(H50:H54)</f>
        <v>982.5</v>
      </c>
      <c r="H55" s="64"/>
    </row>
    <row r="56" spans="1:11" ht="15.75" x14ac:dyDescent="0.25">
      <c r="B56" s="31" t="s">
        <v>1</v>
      </c>
      <c r="C56" s="65">
        <f>C55+C38</f>
        <v>1709.5</v>
      </c>
      <c r="D56" s="66"/>
      <c r="F56" s="31" t="s">
        <v>1</v>
      </c>
      <c r="G56" s="65">
        <f>G55+G38</f>
        <v>1668</v>
      </c>
      <c r="H56" s="66"/>
    </row>
    <row r="57" spans="1:11" ht="19.5" thickBot="1" x14ac:dyDescent="0.35">
      <c r="B57" s="35" t="s">
        <v>0</v>
      </c>
      <c r="C57" s="57">
        <f>C55+C25</f>
        <v>6024</v>
      </c>
      <c r="D57" s="58"/>
      <c r="F57" s="35" t="s">
        <v>0</v>
      </c>
      <c r="G57" s="57">
        <f>G55+G25</f>
        <v>5982.5</v>
      </c>
      <c r="H57" s="58"/>
    </row>
    <row r="63" spans="1:11" ht="18.75" x14ac:dyDescent="0.3">
      <c r="A63" s="54" t="s">
        <v>41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</row>
  </sheetData>
  <sheetProtection algorithmName="SHA-512" hashValue="TlyeKM8IXmycT1H1EXn5jsPGEnFLYGTA8nR5tiuWiy3McG3IGodSamAsPWiF4JND8/p7y2vuJlHGjnnm1c0plg==" saltValue="r9E6piLom4r43/Q0i6xxoA==" spinCount="100000" sheet="1" objects="1" scenarios="1"/>
  <mergeCells count="42">
    <mergeCell ref="B23:D23"/>
    <mergeCell ref="F23:H23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47:D47"/>
    <mergeCell ref="G47:H47"/>
    <mergeCell ref="C43:D43"/>
    <mergeCell ref="G43:H43"/>
    <mergeCell ref="C30:D30"/>
    <mergeCell ref="G30:H30"/>
    <mergeCell ref="C31:D31"/>
    <mergeCell ref="G31:H31"/>
    <mergeCell ref="C34:D34"/>
    <mergeCell ref="G34:H34"/>
    <mergeCell ref="C38:D38"/>
    <mergeCell ref="G38:H38"/>
    <mergeCell ref="C39:D39"/>
    <mergeCell ref="G39:H39"/>
    <mergeCell ref="A63:K63"/>
    <mergeCell ref="A1:K2"/>
    <mergeCell ref="A12:K12"/>
    <mergeCell ref="C57:D57"/>
    <mergeCell ref="G57:H57"/>
    <mergeCell ref="B15:C15"/>
    <mergeCell ref="C49:D49"/>
    <mergeCell ref="G49:H49"/>
    <mergeCell ref="C55:D55"/>
    <mergeCell ref="G55:H55"/>
    <mergeCell ref="C56:D56"/>
    <mergeCell ref="G56:H56"/>
    <mergeCell ref="C44:D44"/>
    <mergeCell ref="G44:H44"/>
    <mergeCell ref="C46:D46"/>
    <mergeCell ref="G46:H46"/>
  </mergeCells>
  <dataValidations count="2">
    <dataValidation type="list" allowBlank="1" showInputMessage="1" showErrorMessage="1" sqref="C16:C20" xr:uid="{66263EAA-74CC-45D0-8FCD-2B8C3B57B785}">
      <formula1>"TAK,NIE"</formula1>
    </dataValidation>
    <dataValidation type="decimal" allowBlank="1" showInputMessage="1" showErrorMessage="1" sqref="C21" xr:uid="{AA24CAA0-7A90-4466-A105-E10A15E0B669}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EFA6E19556534E898142818589E6B0" ma:contentTypeVersion="11" ma:contentTypeDescription="Utwórz nowy dokument." ma:contentTypeScope="" ma:versionID="29269f1b4523d2b993839af6d4ae2863">
  <xsd:schema xmlns:xsd="http://www.w3.org/2001/XMLSchema" xmlns:xs="http://www.w3.org/2001/XMLSchema" xmlns:p="http://schemas.microsoft.com/office/2006/metadata/properties" xmlns:ns3="75273696-45ae-4081-b766-a36dc305759c" xmlns:ns4="1db244d0-9304-4677-8fad-af15e3a32650" targetNamespace="http://schemas.microsoft.com/office/2006/metadata/properties" ma:root="true" ma:fieldsID="8f24ded7b36387d98452f43dfc30da4d" ns3:_="" ns4:_="">
    <xsd:import namespace="75273696-45ae-4081-b766-a36dc305759c"/>
    <xsd:import namespace="1db244d0-9304-4677-8fad-af15e3a326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73696-45ae-4081-b766-a36dc3057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244d0-9304-4677-8fad-af15e3a3265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620D9E-F9ED-4A4C-B92C-E0C5DAA60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73696-45ae-4081-b766-a36dc305759c"/>
    <ds:schemaRef ds:uri="1db244d0-9304-4677-8fad-af15e3a32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36B60-EC49-40F3-A38C-96BF63F78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9CB29E-3B17-405A-8B23-BC5E67D4057F}">
  <ds:schemaRefs>
    <ds:schemaRef ds:uri="http://purl.org/dc/elements/1.1/"/>
    <ds:schemaRef ds:uri="http://schemas.microsoft.com/office/2006/documentManagement/types"/>
    <ds:schemaRef ds:uri="http://purl.org/dc/terms/"/>
    <ds:schemaRef ds:uri="75273696-45ae-4081-b766-a36dc305759c"/>
    <ds:schemaRef ds:uri="1db244d0-9304-4677-8fad-af15e3a32650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MichalSzynwelski</dc:creator>
  <cp:lastModifiedBy>Michał Szynwelski</cp:lastModifiedBy>
  <dcterms:created xsi:type="dcterms:W3CDTF">2022-01-11T10:25:57Z</dcterms:created>
  <dcterms:modified xsi:type="dcterms:W3CDTF">2022-01-12T14:20:29Z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0x010100D1EFA6E19556534E898142818589E6B0</vt:lpwstr>
  </property>
</Properties>
</file>